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Cash Flow" state="visible" r:id="rId5"/>
    <sheet sheetId="3" name="Returns" state="visible" r:id="rId6"/>
    <sheet sheetId="4" name="Sensitivity" state="visible" r:id="rId7"/>
  </sheets>
  <calcPr calcId="171027" fullCalcOnLoad="1"/>
</workbook>
</file>

<file path=xl/sharedStrings.xml><?xml version="1.0" encoding="utf-8"?>
<sst xmlns="http://schemas.openxmlformats.org/spreadsheetml/2006/main" count="98" uniqueCount="84">
  <si>
    <t>Assumption</t>
  </si>
  <si>
    <t>Value</t>
  </si>
  <si>
    <t>Guidance</t>
  </si>
  <si>
    <t>ACQUISITION</t>
  </si>
  <si>
    <t>Purchase price</t>
  </si>
  <si>
    <t/>
  </si>
  <si>
    <t>Closing costs %</t>
  </si>
  <si>
    <t>Legal, title, transfer tax, diligence</t>
  </si>
  <si>
    <t>Total basis</t>
  </si>
  <si>
    <t>OPERATIONS (Year 1)</t>
  </si>
  <si>
    <t>Gross potential rent (GPR)</t>
  </si>
  <si>
    <t>Ties to your rent roll</t>
  </si>
  <si>
    <t>Other income</t>
  </si>
  <si>
    <t>Parking, RUBS, fees</t>
  </si>
  <si>
    <t>Vacancy &amp; credit loss %</t>
  </si>
  <si>
    <t>% of GPR; stress at +5pp</t>
  </si>
  <si>
    <t>Rent growth % / yr</t>
  </si>
  <si>
    <t>Submarket-specific, not a flat national number</t>
  </si>
  <si>
    <t>Expense growth % / yr</t>
  </si>
  <si>
    <t>Operating expenses (Year 1)</t>
  </si>
  <si>
    <t>From the T-12, normalized</t>
  </si>
  <si>
    <t>Capital reserves / yr</t>
  </si>
  <si>
    <t>PCA-informed, grows with expenses</t>
  </si>
  <si>
    <t>EXIT</t>
  </si>
  <si>
    <t>Hold period (years)</t>
  </si>
  <si>
    <t>Model is built on a 10-year grid</t>
  </si>
  <si>
    <t>Exit cap rate</t>
  </si>
  <si>
    <t>Stress ±75 bps on the Sensitivity tab</t>
  </si>
  <si>
    <t>Selling costs %</t>
  </si>
  <si>
    <t>DEBT</t>
  </si>
  <si>
    <t>LTV</t>
  </si>
  <si>
    <t>Check both LTV and DSCR constraints</t>
  </si>
  <si>
    <t>Interest rate</t>
  </si>
  <si>
    <t>Amortization (years)</t>
  </si>
  <si>
    <t>Loan amount</t>
  </si>
  <si>
    <t>Annual debt service</t>
  </si>
  <si>
    <t>Equity required</t>
  </si>
  <si>
    <t>Line item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</si>
  <si>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</si>
  <si>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</si>
  <si>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</si>
  <si>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</si>
  <si>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</si>
  <si>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</si>
  <si>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</si>
  <si>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</si>
  <si>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</si>
  <si>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</si>
  <si>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Gross potential rent</t>
  </si>
  <si>
    <t>Vacancy &amp; credit loss</t>
  </si>
  <si>
    <t>Effective gross income</t>
  </si>
  <si>
    <t>Operating expenses</t>
  </si>
  <si>
    <t>Net operating income</t>
  </si>
  <si>
    <t>Capital reserves</t>
  </si>
  <si>
    <t>Cash flow before debt</t>
  </si>
  <si>
    <t>Debt service</t>
  </si>
  <si>
    <t>Cash flow after debt</t>
  </si>
  <si>
    <t>EXIT (end of Year 10)</t>
  </si>
  <si>
    <t>Year-11 NOI (exit basis)</t>
  </si>
  <si>
    <t>Gross exit value</t>
  </si>
  <si>
    <t>Net sale proceeds</t>
  </si>
  <si>
    <t>Loan balance at exit</t>
  </si>
  <si>
    <t>Net proceeds to equity</t>
  </si>
  <si>
    <t>Metric</t>
  </si>
  <si>
    <t>Definition</t>
  </si>
  <si>
    <t>Unlevered vector (t0..t10)</t>
  </si>
  <si>
    <t>Levered vector (t0..t10)</t>
  </si>
  <si>
    <t>Unlevered IRR</t>
  </si>
  <si>
    <t>Cash flow before debt + net sale proceeds, against total basis</t>
  </si>
  <si>
    <t>Levered IRR</t>
  </si>
  <si>
    <t>Cash flow to equity — the headline number</t>
  </si>
  <si>
    <t>Equity multiple</t>
  </si>
  <si>
    <t>Total distributions / equity in</t>
  </si>
  <si>
    <t>Average cash-on-cash (Yrs 1-10)</t>
  </si>
  <si>
    <t>Before sale proceeds</t>
  </si>
  <si>
    <t>Year-1 DSCR</t>
  </si>
  <si>
    <t>NOI / debt service; lenders want ≥ 1.25x</t>
  </si>
  <si>
    <t>Year-1 cap rate on basis</t>
  </si>
  <si>
    <t>Going-in yield</t>
  </si>
  <si>
    <t>Exit value (gross)</t>
  </si>
  <si>
    <t>Year-11 NOI / exit cap</t>
  </si>
  <si>
    <t>Exit cap</t>
  </si>
  <si>
    <t>Total profit</t>
  </si>
  <si>
    <t>Base case is the shaded row. Columns H-R hold the IRR cash-flow vectors — leave them in place.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</si>
</sst>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x"/>
  </numFmts>
  <fonts count="3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05E"/>
      </patternFill>
    </fill>
    <fill>
      <patternFill patternType="solid">
        <fgColor rgb="FFE3EEF3"/>
      </patternFill>
    </fill>
    <fill>
      <patternFill patternType="solid">
        <fgColor rgb="FFF4F7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2" fillId="3" borderId="0" xfId="0" applyFont="1" applyFill="1"/>
    <xf numFmtId="3" fontId="0" fillId="0" borderId="0" xfId="0" applyNumberFormat="1"/>
    <xf numFmtId="10" fontId="0" fillId="0" borderId="0" xfId="0" applyNumberFormat="1"/>
    <xf numFmtId="0" fontId="0" fillId="4" borderId="0" xfId="0" applyFill="1"/>
    <xf numFmtId="3" fontId="0" fillId="4" borderId="0" xfId="0" applyNumberFormat="1" applyFill="1"/>
    <xf numFmtId="3" fontId="2" fillId="3" borderId="0" xfId="0" applyNumberFormat="1" applyFont="1" applyFill="1"/>
    <xf numFmtId="164" fontId="0" fillId="0" borderId="0" xfId="0" applyNumberFormat="1"/>
    <xf numFmtId="10" fontId="0" fillId="3" borderId="0" xfId="0" applyNumberFormat="1" applyFill="1"/>
    <xf numFmtId="3" fontId="0" fillId="3" borderId="0" xfId="0" applyNumberFormat="1" applyFill="1"/>
    <xf numFmtId="16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6" customWidth="1"/>
    <col min="3" max="3" width="52" customWidth="1"/>
  </cols>
  <sheetData>
    <row r="1" ht="22" customHeight="1" spans="1:3" x14ac:dyDescent="0.25">
      <c r="A1" s="1" t="s">
        <v>0</v>
      </c>
      <c r="B1" s="1" t="s">
        <v>1</v>
      </c>
      <c r="C1" s="1" t="s">
        <v>2</v>
      </c>
    </row>
    <row r="2" spans="1:3" s="2" customFormat="1" x14ac:dyDescent="0.25">
      <c r="A2" s="3" t="s">
        <v>3</v>
      </c>
      <c r="B2" s="3"/>
      <c r="C2" s="3"/>
    </row>
    <row r="3" spans="1:3" x14ac:dyDescent="0.25">
      <c r="A3" t="s">
        <v>4</v>
      </c>
      <c r="B3" s="4">
        <v>21000000</v>
      </c>
      <c r="C3" t="s">
        <v>5</v>
      </c>
    </row>
    <row r="4" spans="1:3" x14ac:dyDescent="0.25">
      <c r="A4" t="s">
        <v>6</v>
      </c>
      <c r="B4" s="5">
        <v>0.015</v>
      </c>
      <c r="C4" t="s">
        <v>7</v>
      </c>
    </row>
    <row r="5" spans="1:3" x14ac:dyDescent="0.25">
      <c r="A5" t="s">
        <v>8</v>
      </c>
      <c r="B5" s="4">
        <f>B3*(1+B4)</f>
      </c>
      <c r="C5" t="s">
        <v>5</v>
      </c>
    </row>
    <row r="6" spans="1:3" s="2" customFormat="1" x14ac:dyDescent="0.25">
      <c r="A6" s="3" t="s">
        <v>9</v>
      </c>
      <c r="B6" s="3"/>
      <c r="C6" s="3"/>
    </row>
    <row r="7" spans="1:3" x14ac:dyDescent="0.25">
      <c r="A7" t="s">
        <v>10</v>
      </c>
      <c r="B7" s="4">
        <v>2100000</v>
      </c>
      <c r="C7" t="s">
        <v>11</v>
      </c>
    </row>
    <row r="8" spans="1:3" x14ac:dyDescent="0.25">
      <c r="A8" t="s">
        <v>12</v>
      </c>
      <c r="B8" s="4">
        <v>85000</v>
      </c>
      <c r="C8" t="s">
        <v>13</v>
      </c>
    </row>
    <row r="9" spans="1:3" x14ac:dyDescent="0.25">
      <c r="A9" t="s">
        <v>14</v>
      </c>
      <c r="B9" s="5">
        <v>0.06</v>
      </c>
      <c r="C9" t="s">
        <v>15</v>
      </c>
    </row>
    <row r="10" spans="1:3" x14ac:dyDescent="0.25">
      <c r="A10" t="s">
        <v>16</v>
      </c>
      <c r="B10" s="5">
        <v>0.03</v>
      </c>
      <c r="C10" t="s">
        <v>17</v>
      </c>
    </row>
    <row r="11" spans="1:3" x14ac:dyDescent="0.25">
      <c r="A11" t="s">
        <v>18</v>
      </c>
      <c r="B11" s="5">
        <v>0.03</v>
      </c>
      <c r="C11" t="s">
        <v>5</v>
      </c>
    </row>
    <row r="12" spans="1:3" x14ac:dyDescent="0.25">
      <c r="A12" t="s">
        <v>19</v>
      </c>
      <c r="B12" s="4">
        <v>820000</v>
      </c>
      <c r="C12" t="s">
        <v>20</v>
      </c>
    </row>
    <row r="13" spans="1:3" x14ac:dyDescent="0.25">
      <c r="A13" t="s">
        <v>21</v>
      </c>
      <c r="B13" s="4">
        <v>65000</v>
      </c>
      <c r="C13" t="s">
        <v>22</v>
      </c>
    </row>
    <row r="14" spans="1:3" s="2" customFormat="1" x14ac:dyDescent="0.25">
      <c r="A14" s="3" t="s">
        <v>23</v>
      </c>
      <c r="B14" s="3"/>
      <c r="C14" s="3"/>
    </row>
    <row r="15" spans="1:3" x14ac:dyDescent="0.25">
      <c r="A15" t="s">
        <v>24</v>
      </c>
      <c r="B15">
        <v>10</v>
      </c>
      <c r="C15" t="s">
        <v>25</v>
      </c>
    </row>
    <row r="16" spans="1:3" x14ac:dyDescent="0.25">
      <c r="A16" t="s">
        <v>26</v>
      </c>
      <c r="B16" s="5">
        <v>0.0625</v>
      </c>
      <c r="C16" t="s">
        <v>27</v>
      </c>
    </row>
    <row r="17" spans="1:3" x14ac:dyDescent="0.25">
      <c r="A17" t="s">
        <v>28</v>
      </c>
      <c r="B17" s="5">
        <v>0.02</v>
      </c>
      <c r="C17" t="s">
        <v>5</v>
      </c>
    </row>
    <row r="18" spans="1:3" s="2" customFormat="1" x14ac:dyDescent="0.25">
      <c r="A18" s="3" t="s">
        <v>29</v>
      </c>
      <c r="B18" s="3"/>
      <c r="C18" s="3"/>
    </row>
    <row r="19" spans="1:3" x14ac:dyDescent="0.25">
      <c r="A19" t="s">
        <v>30</v>
      </c>
      <c r="B19" s="5">
        <v>0.6</v>
      </c>
      <c r="C19" t="s">
        <v>31</v>
      </c>
    </row>
    <row r="20" spans="1:3" x14ac:dyDescent="0.25">
      <c r="A20" t="s">
        <v>32</v>
      </c>
      <c r="B20" s="5">
        <v>0.0575</v>
      </c>
      <c r="C20" t="s">
        <v>5</v>
      </c>
    </row>
    <row r="21" spans="1:3" x14ac:dyDescent="0.25">
      <c r="A21" t="s">
        <v>33</v>
      </c>
      <c r="B21">
        <v>30</v>
      </c>
      <c r="C21" t="s">
        <v>5</v>
      </c>
    </row>
    <row r="22" spans="1:3" x14ac:dyDescent="0.25">
      <c r="A22" t="s">
        <v>34</v>
      </c>
      <c r="B22" s="4">
        <f>B3*B19</f>
      </c>
      <c r="C22" t="s">
        <v>5</v>
      </c>
    </row>
    <row r="23" spans="1:3" x14ac:dyDescent="0.25">
      <c r="A23" t="s">
        <v>35</v>
      </c>
      <c r="B23" s="4">
        <f>-PMT(B20/12,B21*12,B22)*12</f>
      </c>
      <c r="C23" t="s">
        <v>5</v>
      </c>
    </row>
    <row r="24" spans="1:3" x14ac:dyDescent="0.25">
      <c r="A24" t="s">
        <v>36</v>
      </c>
      <c r="B24" s="4">
        <f>B5-B22</f>
      </c>
      <c r="C2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1" width="13" customWidth="1"/>
  </cols>
  <sheetData>
    <row r="1" ht="22" customHeight="1" spans="1:11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  <c r="J1" s="1" t="s">
        <v>46</v>
      </c>
      <c r="K1" s="1" t="s">
        <v>47</v>
      </c>
    </row>
    <row r="2" spans="1:11" x14ac:dyDescent="0.25">
      <c r="A2" t="s">
        <v>48</v>
      </c>
      <c r="B2" s="4">
        <f>Assumptions!B7</f>
      </c>
      <c r="C2" s="4">
        <f>B2*(1+Assumptions!$B$10)</f>
      </c>
      <c r="D2" s="4">
        <f>C2*(1+Assumptions!$B$10)</f>
      </c>
      <c r="E2" s="4">
        <f>D2*(1+Assumptions!$B$10)</f>
      </c>
      <c r="F2" s="4">
        <f>E2*(1+Assumptions!$B$10)</f>
      </c>
      <c r="G2" s="4">
        <f>F2*(1+Assumptions!$B$10)</f>
      </c>
      <c r="H2" s="4">
        <f>G2*(1+Assumptions!$B$10)</f>
      </c>
      <c r="I2" s="4">
        <f>H2*(1+Assumptions!$B$10)</f>
      </c>
      <c r="J2" s="4">
        <f>I2*(1+Assumptions!$B$10)</f>
      </c>
      <c r="K2" s="4">
        <f>J2*(1+Assumptions!$B$10)</f>
      </c>
    </row>
    <row r="3" spans="1:11" x14ac:dyDescent="0.25">
      <c r="A3" t="s">
        <v>49</v>
      </c>
      <c r="B3" s="4">
        <f>-B2*Assumptions!$B$9</f>
      </c>
      <c r="C3" s="4">
        <f>-C2*Assumptions!$B$9</f>
      </c>
      <c r="D3" s="4">
        <f>-D2*Assumptions!$B$9</f>
      </c>
      <c r="E3" s="4">
        <f>-E2*Assumptions!$B$9</f>
      </c>
      <c r="F3" s="4">
        <f>-F2*Assumptions!$B$9</f>
      </c>
      <c r="G3" s="4">
        <f>-G2*Assumptions!$B$9</f>
      </c>
      <c r="H3" s="4">
        <f>-H2*Assumptions!$B$9</f>
      </c>
      <c r="I3" s="4">
        <f>-I2*Assumptions!$B$9</f>
      </c>
      <c r="J3" s="4">
        <f>-J2*Assumptions!$B$9</f>
      </c>
      <c r="K3" s="4">
        <f>-K2*Assumptions!$B$9</f>
      </c>
    </row>
    <row r="4" spans="1:11" x14ac:dyDescent="0.25">
      <c r="A4" t="s">
        <v>12</v>
      </c>
      <c r="B4" s="4">
        <f>Assumptions!B8</f>
      </c>
      <c r="C4" s="4">
        <f>B4*(1+Assumptions!$B$10)</f>
      </c>
      <c r="D4" s="4">
        <f>C4*(1+Assumptions!$B$10)</f>
      </c>
      <c r="E4" s="4">
        <f>D4*(1+Assumptions!$B$10)</f>
      </c>
      <c r="F4" s="4">
        <f>E4*(1+Assumptions!$B$10)</f>
      </c>
      <c r="G4" s="4">
        <f>F4*(1+Assumptions!$B$10)</f>
      </c>
      <c r="H4" s="4">
        <f>G4*(1+Assumptions!$B$10)</f>
      </c>
      <c r="I4" s="4">
        <f>H4*(1+Assumptions!$B$10)</f>
      </c>
      <c r="J4" s="4">
        <f>I4*(1+Assumptions!$B$10)</f>
      </c>
      <c r="K4" s="4">
        <f>J4*(1+Assumptions!$B$10)</f>
      </c>
    </row>
    <row r="5" spans="1:11" x14ac:dyDescent="0.25">
      <c r="A5" t="s">
        <v>50</v>
      </c>
      <c r="B5" s="4">
        <f>SUM(B2:B4)</f>
      </c>
      <c r="C5" s="4">
        <f>SUM(C2:C4)</f>
      </c>
      <c r="D5" s="4">
        <f>SUM(D2:D4)</f>
      </c>
      <c r="E5" s="4">
        <f>SUM(E2:E4)</f>
      </c>
      <c r="F5" s="4">
        <f>SUM(F2:F4)</f>
      </c>
      <c r="G5" s="4">
        <f>SUM(G2:G4)</f>
      </c>
      <c r="H5" s="4">
        <f>SUM(H2:H4)</f>
      </c>
      <c r="I5" s="4">
        <f>SUM(I2:I4)</f>
      </c>
      <c r="J5" s="4">
        <f>SUM(J2:J4)</f>
      </c>
      <c r="K5" s="4">
        <f>SUM(K2:K4)</f>
      </c>
    </row>
    <row r="6" spans="1:11" x14ac:dyDescent="0.25">
      <c r="A6" t="s">
        <v>51</v>
      </c>
      <c r="B6" s="4">
        <f>-Assumptions!B12</f>
      </c>
      <c r="C6" s="4">
        <f>B6*(1+Assumptions!$B$11)</f>
      </c>
      <c r="D6" s="4">
        <f>C6*(1+Assumptions!$B$11)</f>
      </c>
      <c r="E6" s="4">
        <f>D6*(1+Assumptions!$B$11)</f>
      </c>
      <c r="F6" s="4">
        <f>E6*(1+Assumptions!$B$11)</f>
      </c>
      <c r="G6" s="4">
        <f>F6*(1+Assumptions!$B$11)</f>
      </c>
      <c r="H6" s="4">
        <f>G6*(1+Assumptions!$B$11)</f>
      </c>
      <c r="I6" s="4">
        <f>H6*(1+Assumptions!$B$11)</f>
      </c>
      <c r="J6" s="4">
        <f>I6*(1+Assumptions!$B$11)</f>
      </c>
      <c r="K6" s="4">
        <f>J6*(1+Assumptions!$B$11)</f>
      </c>
    </row>
    <row r="7" spans="1:11" x14ac:dyDescent="0.25">
      <c r="A7" s="6" t="s">
        <v>52</v>
      </c>
      <c r="B7" s="7">
        <f>B5+B6</f>
      </c>
      <c r="C7" s="7">
        <f>C5+C6</f>
      </c>
      <c r="D7" s="7">
        <f>D5+D6</f>
      </c>
      <c r="E7" s="7">
        <f>E5+E6</f>
      </c>
      <c r="F7" s="7">
        <f>F5+F6</f>
      </c>
      <c r="G7" s="7">
        <f>G5+G6</f>
      </c>
      <c r="H7" s="7">
        <f>H5+H6</f>
      </c>
      <c r="I7" s="7">
        <f>I5+I6</f>
      </c>
      <c r="J7" s="7">
        <f>J5+J6</f>
      </c>
      <c r="K7" s="7">
        <f>K5+K6</f>
      </c>
    </row>
    <row r="8" spans="1:11" x14ac:dyDescent="0.25">
      <c r="A8" t="s">
        <v>53</v>
      </c>
      <c r="B8" s="4">
        <f>-Assumptions!B13</f>
      </c>
      <c r="C8" s="4">
        <f>B8*(1+Assumptions!$B$11)</f>
      </c>
      <c r="D8" s="4">
        <f>C8*(1+Assumptions!$B$11)</f>
      </c>
      <c r="E8" s="4">
        <f>D8*(1+Assumptions!$B$11)</f>
      </c>
      <c r="F8" s="4">
        <f>E8*(1+Assumptions!$B$11)</f>
      </c>
      <c r="G8" s="4">
        <f>F8*(1+Assumptions!$B$11)</f>
      </c>
      <c r="H8" s="4">
        <f>G8*(1+Assumptions!$B$11)</f>
      </c>
      <c r="I8" s="4">
        <f>H8*(1+Assumptions!$B$11)</f>
      </c>
      <c r="J8" s="4">
        <f>I8*(1+Assumptions!$B$11)</f>
      </c>
      <c r="K8" s="4">
        <f>J8*(1+Assumptions!$B$11)</f>
      </c>
    </row>
    <row r="9" spans="1:11" x14ac:dyDescent="0.25">
      <c r="A9" t="s">
        <v>54</v>
      </c>
      <c r="B9" s="4">
        <f>B7+B8</f>
      </c>
      <c r="C9" s="4">
        <f>C7+C8</f>
      </c>
      <c r="D9" s="4">
        <f>D7+D8</f>
      </c>
      <c r="E9" s="4">
        <f>E7+E8</f>
      </c>
      <c r="F9" s="4">
        <f>F7+F8</f>
      </c>
      <c r="G9" s="4">
        <f>G7+G8</f>
      </c>
      <c r="H9" s="4">
        <f>H7+H8</f>
      </c>
      <c r="I9" s="4">
        <f>I7+I8</f>
      </c>
      <c r="J9" s="4">
        <f>J7+J8</f>
      </c>
      <c r="K9" s="4">
        <f>K7+K8</f>
      </c>
    </row>
    <row r="10" spans="1:11" x14ac:dyDescent="0.25">
      <c r="A10" t="s">
        <v>55</v>
      </c>
      <c r="B10" s="4">
        <f>-Assumptions!$B$23</f>
      </c>
      <c r="C10" s="4">
        <f>-Assumptions!$B$23</f>
      </c>
      <c r="D10" s="4">
        <f>-Assumptions!$B$23</f>
      </c>
      <c r="E10" s="4">
        <f>-Assumptions!$B$23</f>
      </c>
      <c r="F10" s="4">
        <f>-Assumptions!$B$23</f>
      </c>
      <c r="G10" s="4">
        <f>-Assumptions!$B$23</f>
      </c>
      <c r="H10" s="4">
        <f>-Assumptions!$B$23</f>
      </c>
      <c r="I10" s="4">
        <f>-Assumptions!$B$23</f>
      </c>
      <c r="J10" s="4">
        <f>-Assumptions!$B$23</f>
      </c>
      <c r="K10" s="4">
        <f>-Assumptions!$B$23</f>
      </c>
    </row>
    <row r="11" spans="1:11" x14ac:dyDescent="0.25">
      <c r="A11" s="6" t="s">
        <v>56</v>
      </c>
      <c r="B11" s="7">
        <f>B9+B10</f>
      </c>
      <c r="C11" s="7">
        <f>C9+C10</f>
      </c>
      <c r="D11" s="7">
        <f>D9+D10</f>
      </c>
      <c r="E11" s="7">
        <f>E9+E10</f>
      </c>
      <c r="F11" s="7">
        <f>F9+F10</f>
      </c>
      <c r="G11" s="7">
        <f>G9+G10</f>
      </c>
      <c r="H11" s="7">
        <f>H9+H10</f>
      </c>
      <c r="I11" s="7">
        <f>I9+I10</f>
      </c>
      <c r="J11" s="7">
        <f>J9+J10</f>
      </c>
      <c r="K11" s="7">
        <f>K9+K10</f>
      </c>
    </row>
    <row r="12" spans="2:11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2" customFormat="1" x14ac:dyDescent="0.25">
      <c r="A13" s="3" t="s">
        <v>57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5">
      <c r="A14" t="s">
        <v>58</v>
      </c>
      <c r="B14" s="4">
        <f>K7*(1+Assumptions!B10)</f>
      </c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t="s">
        <v>59</v>
      </c>
      <c r="B15" s="4">
        <f>B14/Assumptions!B16</f>
      </c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t="s">
        <v>60</v>
      </c>
      <c r="B16" s="4">
        <f>B15*(1-Assumptions!B17)</f>
      </c>
      <c r="C16" s="4"/>
      <c r="D16" s="4"/>
      <c r="E16" s="4"/>
      <c r="F16" s="4"/>
      <c r="G16" s="4"/>
      <c r="H16" s="4"/>
      <c r="I16" s="4"/>
      <c r="J16" s="4"/>
      <c r="K16" s="4"/>
    </row>
    <row r="17" spans="1:2" x14ac:dyDescent="0.25">
      <c r="A17" t="s">
        <v>61</v>
      </c>
      <c r="B17" s="4">
        <f>-FV(Assumptions!B20/12,120,PMT(Assumptions!B20/12,Assumptions!B21*12,Assumptions!B22),Assumptions!B22)</f>
      </c>
    </row>
    <row r="18" spans="1:2" x14ac:dyDescent="0.25">
      <c r="A18" t="s">
        <v>62</v>
      </c>
      <c r="B18" s="4">
        <f>B16-B17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6" customWidth="1"/>
    <col min="3" max="3" width="52" customWidth="1"/>
  </cols>
  <sheetData>
    <row r="1" ht="22" customHeight="1" spans="1:3" x14ac:dyDescent="0.25">
      <c r="A1" s="1" t="s">
        <v>63</v>
      </c>
      <c r="B1" s="1" t="s">
        <v>1</v>
      </c>
      <c r="C1" s="1" t="s">
        <v>64</v>
      </c>
    </row>
    <row r="20" spans="1:12" x14ac:dyDescent="0.25">
      <c r="A20" t="s">
        <v>65</v>
      </c>
      <c r="B20" s="4">
        <f>-Assumptions!B5</f>
      </c>
      <c r="C20" s="4">
        <f>'Cash Flow'!B9</f>
      </c>
      <c r="D20" s="4">
        <f>'Cash Flow'!C9</f>
      </c>
      <c r="E20" s="4">
        <f>'Cash Flow'!D9</f>
      </c>
      <c r="F20" s="4">
        <f>'Cash Flow'!E9</f>
      </c>
      <c r="G20" s="4">
        <f>'Cash Flow'!F9</f>
      </c>
      <c r="H20" s="4">
        <f>'Cash Flow'!G9</f>
      </c>
      <c r="I20" s="4">
        <f>'Cash Flow'!H9</f>
      </c>
      <c r="J20" s="4">
        <f>'Cash Flow'!I9</f>
      </c>
      <c r="K20" s="4">
        <f>'Cash Flow'!J9</f>
      </c>
      <c r="L20" s="4">
        <f>'Cash Flow'!K9+'Cash Flow'!B16</f>
      </c>
    </row>
    <row r="21" spans="1:12" x14ac:dyDescent="0.25">
      <c r="A21" t="s">
        <v>66</v>
      </c>
      <c r="B21" s="4">
        <f>-Assumptions!B24</f>
      </c>
      <c r="C21" s="4">
        <f>'Cash Flow'!B11</f>
      </c>
      <c r="D21" s="4">
        <f>'Cash Flow'!C11</f>
      </c>
      <c r="E21" s="4">
        <f>'Cash Flow'!D11</f>
      </c>
      <c r="F21" s="4">
        <f>'Cash Flow'!E11</f>
      </c>
      <c r="G21" s="4">
        <f>'Cash Flow'!F11</f>
      </c>
      <c r="H21" s="4">
        <f>'Cash Flow'!G11</f>
      </c>
      <c r="I21" s="4">
        <f>'Cash Flow'!H11</f>
      </c>
      <c r="J21" s="4">
        <f>'Cash Flow'!I11</f>
      </c>
      <c r="K21" s="4">
        <f>'Cash Flow'!J11</f>
      </c>
      <c r="L21" s="4">
        <f>'Cash Flow'!K11+'Cash Flow'!B18</f>
      </c>
    </row>
    <row r="22" spans="1:3" x14ac:dyDescent="0.25">
      <c r="A22" t="s">
        <v>67</v>
      </c>
      <c r="B22" s="5">
        <f>IRR(B20:L20)</f>
      </c>
      <c r="C22" t="s">
        <v>68</v>
      </c>
    </row>
    <row r="23" spans="1:3" x14ac:dyDescent="0.25">
      <c r="A23" t="s">
        <v>69</v>
      </c>
      <c r="B23" s="5">
        <f>IRR(B21:L21)</f>
      </c>
      <c r="C23" t="s">
        <v>70</v>
      </c>
    </row>
    <row r="24" spans="1:3" x14ac:dyDescent="0.25">
      <c r="A24" t="s">
        <v>71</v>
      </c>
      <c r="B24" s="9">
        <f>SUM(C21:L21)/-B21</f>
      </c>
      <c r="C24" t="s">
        <v>72</v>
      </c>
    </row>
    <row r="25" spans="1:3" x14ac:dyDescent="0.25">
      <c r="A25" t="s">
        <v>73</v>
      </c>
      <c r="B25" s="5">
        <f>AVERAGE('Cash Flow'!B11:K11)/Assumptions!B24</f>
      </c>
      <c r="C25" t="s">
        <v>74</v>
      </c>
    </row>
    <row r="26" spans="1:3" x14ac:dyDescent="0.25">
      <c r="A26" t="s">
        <v>75</v>
      </c>
      <c r="B26" s="9">
        <f>'Cash Flow'!B7/Assumptions!B23</f>
      </c>
      <c r="C26" t="s">
        <v>76</v>
      </c>
    </row>
    <row r="27" spans="1:3" x14ac:dyDescent="0.25">
      <c r="A27" t="s">
        <v>77</v>
      </c>
      <c r="B27" s="5">
        <f>'Cash Flow'!B7/Assumptions!B5</f>
      </c>
      <c r="C27" t="s">
        <v>78</v>
      </c>
    </row>
    <row r="28" spans="1:3" x14ac:dyDescent="0.25">
      <c r="A28" t="s">
        <v>79</v>
      </c>
      <c r="B28" s="4">
        <f>'Cash Flow'!B15</f>
      </c>
      <c r="C28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4" width="16" customWidth="1"/>
    <col min="5" max="6" width="14" customWidth="1"/>
  </cols>
  <sheetData>
    <row r="1" ht="22" customHeight="1" spans="1:6" x14ac:dyDescent="0.25">
      <c r="A1" s="1" t="s">
        <v>81</v>
      </c>
      <c r="B1" s="1" t="s">
        <v>59</v>
      </c>
      <c r="C1" s="1" t="s">
        <v>62</v>
      </c>
      <c r="D1" s="1" t="s">
        <v>82</v>
      </c>
      <c r="E1" s="1" t="s">
        <v>71</v>
      </c>
      <c r="F1" s="1" t="s">
        <v>69</v>
      </c>
    </row>
    <row r="2" spans="1:18" x14ac:dyDescent="0.25">
      <c r="A2" s="5">
        <f>Assumptions!$B$16+(-0.0075)</f>
      </c>
      <c r="B2" s="4">
        <f>'Cash Flow'!$B$14/A2</f>
      </c>
      <c r="C2" s="4">
        <f>B2*(1-Assumptions!$B$17)-'Cash Flow'!$B$17</f>
      </c>
      <c r="D2" s="4">
        <f>SUM('Cash Flow'!B11:K11)+C2-Assumptions!$B$24</f>
      </c>
      <c r="E2" s="9">
        <f>(SUM('Cash Flow'!B11:K11)+C2)/Assumptions!$B$24</f>
      </c>
      <c r="F2" s="5">
        <f>IRR($H2:$R2)</f>
      </c>
      <c r="H2" s="4">
        <f>-Assumptions!$B$24</f>
      </c>
      <c r="I2" s="4">
        <f>'Cash Flow'!B11</f>
      </c>
      <c r="J2" s="4">
        <f>'Cash Flow'!C11</f>
      </c>
      <c r="K2" s="4">
        <f>'Cash Flow'!D11</f>
      </c>
      <c r="L2" s="4">
        <f>'Cash Flow'!E11</f>
      </c>
      <c r="M2" s="4">
        <f>'Cash Flow'!F11</f>
      </c>
      <c r="N2" s="4">
        <f>'Cash Flow'!G11</f>
      </c>
      <c r="O2" s="4">
        <f>'Cash Flow'!H11</f>
      </c>
      <c r="P2" s="4">
        <f>'Cash Flow'!I11</f>
      </c>
      <c r="Q2" s="4">
        <f>'Cash Flow'!J11</f>
      </c>
      <c r="R2" s="4">
        <f>'Cash Flow'!K11+C2</f>
      </c>
    </row>
    <row r="3" spans="1:18" x14ac:dyDescent="0.25">
      <c r="A3" s="5">
        <f>Assumptions!$B$16+(-0.005)</f>
      </c>
      <c r="B3" s="4">
        <f>'Cash Flow'!$B$14/A3</f>
      </c>
      <c r="C3" s="4">
        <f>B3*(1-Assumptions!$B$17)-'Cash Flow'!$B$17</f>
      </c>
      <c r="D3" s="4">
        <f>SUM('Cash Flow'!B11:K11)+C3-Assumptions!$B$24</f>
      </c>
      <c r="E3" s="9">
        <f>(SUM('Cash Flow'!B11:K11)+C3)/Assumptions!$B$24</f>
      </c>
      <c r="F3" s="5">
        <f>IRR($H3:$R3)</f>
      </c>
      <c r="H3" s="4">
        <f>-Assumptions!$B$24</f>
      </c>
      <c r="I3" s="4">
        <f>'Cash Flow'!B11</f>
      </c>
      <c r="J3" s="4">
        <f>'Cash Flow'!C11</f>
      </c>
      <c r="K3" s="4">
        <f>'Cash Flow'!D11</f>
      </c>
      <c r="L3" s="4">
        <f>'Cash Flow'!E11</f>
      </c>
      <c r="M3" s="4">
        <f>'Cash Flow'!F11</f>
      </c>
      <c r="N3" s="4">
        <f>'Cash Flow'!G11</f>
      </c>
      <c r="O3" s="4">
        <f>'Cash Flow'!H11</f>
      </c>
      <c r="P3" s="4">
        <f>'Cash Flow'!I11</f>
      </c>
      <c r="Q3" s="4">
        <f>'Cash Flow'!J11</f>
      </c>
      <c r="R3" s="4">
        <f>'Cash Flow'!K11+C3</f>
      </c>
    </row>
    <row r="4" spans="1:18" x14ac:dyDescent="0.25">
      <c r="A4" s="5">
        <f>Assumptions!$B$16+(-0.0025)</f>
      </c>
      <c r="B4" s="4">
        <f>'Cash Flow'!$B$14/A4</f>
      </c>
      <c r="C4" s="4">
        <f>B4*(1-Assumptions!$B$17)-'Cash Flow'!$B$17</f>
      </c>
      <c r="D4" s="4">
        <f>SUM('Cash Flow'!B11:K11)+C4-Assumptions!$B$24</f>
      </c>
      <c r="E4" s="9">
        <f>(SUM('Cash Flow'!B11:K11)+C4)/Assumptions!$B$24</f>
      </c>
      <c r="F4" s="5">
        <f>IRR($H4:$R4)</f>
      </c>
      <c r="H4" s="4">
        <f>-Assumptions!$B$24</f>
      </c>
      <c r="I4" s="4">
        <f>'Cash Flow'!B11</f>
      </c>
      <c r="J4" s="4">
        <f>'Cash Flow'!C11</f>
      </c>
      <c r="K4" s="4">
        <f>'Cash Flow'!D11</f>
      </c>
      <c r="L4" s="4">
        <f>'Cash Flow'!E11</f>
      </c>
      <c r="M4" s="4">
        <f>'Cash Flow'!F11</f>
      </c>
      <c r="N4" s="4">
        <f>'Cash Flow'!G11</f>
      </c>
      <c r="O4" s="4">
        <f>'Cash Flow'!H11</f>
      </c>
      <c r="P4" s="4">
        <f>'Cash Flow'!I11</f>
      </c>
      <c r="Q4" s="4">
        <f>'Cash Flow'!J11</f>
      </c>
      <c r="R4" s="4">
        <f>'Cash Flow'!K11+C4</f>
      </c>
    </row>
    <row r="5" spans="1:18" x14ac:dyDescent="0.25">
      <c r="A5" s="10">
        <f>Assumptions!$B$16+(0)</f>
      </c>
      <c r="B5" s="11">
        <f>'Cash Flow'!$B$14/A5</f>
      </c>
      <c r="C5" s="11">
        <f>B5*(1-Assumptions!$B$17)-'Cash Flow'!$B$17</f>
      </c>
      <c r="D5" s="11">
        <f>SUM('Cash Flow'!B11:K11)+C5-Assumptions!$B$24</f>
      </c>
      <c r="E5" s="12">
        <f>(SUM('Cash Flow'!B11:K11)+C5)/Assumptions!$B$24</f>
      </c>
      <c r="F5" s="10">
        <f>IRR($H5:$R5)</f>
      </c>
      <c r="H5" s="4">
        <f>-Assumptions!$B$24</f>
      </c>
      <c r="I5" s="4">
        <f>'Cash Flow'!B11</f>
      </c>
      <c r="J5" s="4">
        <f>'Cash Flow'!C11</f>
      </c>
      <c r="K5" s="4">
        <f>'Cash Flow'!D11</f>
      </c>
      <c r="L5" s="4">
        <f>'Cash Flow'!E11</f>
      </c>
      <c r="M5" s="4">
        <f>'Cash Flow'!F11</f>
      </c>
      <c r="N5" s="4">
        <f>'Cash Flow'!G11</f>
      </c>
      <c r="O5" s="4">
        <f>'Cash Flow'!H11</f>
      </c>
      <c r="P5" s="4">
        <f>'Cash Flow'!I11</f>
      </c>
      <c r="Q5" s="4">
        <f>'Cash Flow'!J11</f>
      </c>
      <c r="R5" s="4">
        <f>'Cash Flow'!K11+C5</f>
      </c>
    </row>
    <row r="6" spans="1:18" x14ac:dyDescent="0.25">
      <c r="A6" s="5">
        <f>Assumptions!$B$16+(0.0025)</f>
      </c>
      <c r="B6" s="4">
        <f>'Cash Flow'!$B$14/A6</f>
      </c>
      <c r="C6" s="4">
        <f>B6*(1-Assumptions!$B$17)-'Cash Flow'!$B$17</f>
      </c>
      <c r="D6" s="4">
        <f>SUM('Cash Flow'!B11:K11)+C6-Assumptions!$B$24</f>
      </c>
      <c r="E6" s="9">
        <f>(SUM('Cash Flow'!B11:K11)+C6)/Assumptions!$B$24</f>
      </c>
      <c r="F6" s="5">
        <f>IRR($H6:$R6)</f>
      </c>
      <c r="H6" s="4">
        <f>-Assumptions!$B$24</f>
      </c>
      <c r="I6" s="4">
        <f>'Cash Flow'!B11</f>
      </c>
      <c r="J6" s="4">
        <f>'Cash Flow'!C11</f>
      </c>
      <c r="K6" s="4">
        <f>'Cash Flow'!D11</f>
      </c>
      <c r="L6" s="4">
        <f>'Cash Flow'!E11</f>
      </c>
      <c r="M6" s="4">
        <f>'Cash Flow'!F11</f>
      </c>
      <c r="N6" s="4">
        <f>'Cash Flow'!G11</f>
      </c>
      <c r="O6" s="4">
        <f>'Cash Flow'!H11</f>
      </c>
      <c r="P6" s="4">
        <f>'Cash Flow'!I11</f>
      </c>
      <c r="Q6" s="4">
        <f>'Cash Flow'!J11</f>
      </c>
      <c r="R6" s="4">
        <f>'Cash Flow'!K11+C6</f>
      </c>
    </row>
    <row r="7" spans="1:18" x14ac:dyDescent="0.25">
      <c r="A7" s="5">
        <f>Assumptions!$B$16+(0.005)</f>
      </c>
      <c r="B7" s="4">
        <f>'Cash Flow'!$B$14/A7</f>
      </c>
      <c r="C7" s="4">
        <f>B7*(1-Assumptions!$B$17)-'Cash Flow'!$B$17</f>
      </c>
      <c r="D7" s="4">
        <f>SUM('Cash Flow'!B11:K11)+C7-Assumptions!$B$24</f>
      </c>
      <c r="E7" s="9">
        <f>(SUM('Cash Flow'!B11:K11)+C7)/Assumptions!$B$24</f>
      </c>
      <c r="F7" s="5">
        <f>IRR($H7:$R7)</f>
      </c>
      <c r="H7" s="4">
        <f>-Assumptions!$B$24</f>
      </c>
      <c r="I7" s="4">
        <f>'Cash Flow'!B11</f>
      </c>
      <c r="J7" s="4">
        <f>'Cash Flow'!C11</f>
      </c>
      <c r="K7" s="4">
        <f>'Cash Flow'!D11</f>
      </c>
      <c r="L7" s="4">
        <f>'Cash Flow'!E11</f>
      </c>
      <c r="M7" s="4">
        <f>'Cash Flow'!F11</f>
      </c>
      <c r="N7" s="4">
        <f>'Cash Flow'!G11</f>
      </c>
      <c r="O7" s="4">
        <f>'Cash Flow'!H11</f>
      </c>
      <c r="P7" s="4">
        <f>'Cash Flow'!I11</f>
      </c>
      <c r="Q7" s="4">
        <f>'Cash Flow'!J11</f>
      </c>
      <c r="R7" s="4">
        <f>'Cash Flow'!K11+C7</f>
      </c>
    </row>
    <row r="8" spans="1:18" x14ac:dyDescent="0.25">
      <c r="A8" s="5">
        <f>Assumptions!$B$16+(0.0075)</f>
      </c>
      <c r="B8" s="4">
        <f>'Cash Flow'!$B$14/A8</f>
      </c>
      <c r="C8" s="4">
        <f>B8*(1-Assumptions!$B$17)-'Cash Flow'!$B$17</f>
      </c>
      <c r="D8" s="4">
        <f>SUM('Cash Flow'!B11:K11)+C8-Assumptions!$B$24</f>
      </c>
      <c r="E8" s="9">
        <f>(SUM('Cash Flow'!B11:K11)+C8)/Assumptions!$B$24</f>
      </c>
      <c r="F8" s="5">
        <f>IRR($H8:$R8)</f>
      </c>
      <c r="H8" s="4">
        <f>-Assumptions!$B$24</f>
      </c>
      <c r="I8" s="4">
        <f>'Cash Flow'!B11</f>
      </c>
      <c r="J8" s="4">
        <f>'Cash Flow'!C11</f>
      </c>
      <c r="K8" s="4">
        <f>'Cash Flow'!D11</f>
      </c>
      <c r="L8" s="4">
        <f>'Cash Flow'!E11</f>
      </c>
      <c r="M8" s="4">
        <f>'Cash Flow'!F11</f>
      </c>
      <c r="N8" s="4">
        <f>'Cash Flow'!G11</f>
      </c>
      <c r="O8" s="4">
        <f>'Cash Flow'!H11</f>
      </c>
      <c r="P8" s="4">
        <f>'Cash Flow'!I11</f>
      </c>
      <c r="Q8" s="4">
        <f>'Cash Flow'!J11</f>
      </c>
      <c r="R8" s="4">
        <f>'Cash Flow'!K11+C8</f>
      </c>
    </row>
    <row r="10" spans="1:1" x14ac:dyDescent="0.25">
      <c r="A1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Assumptions</vt:lpstr>
      <vt:lpstr>Cash Flow</vt:lpstr>
      <vt:lpstr>Returns</vt:lpstr>
      <vt:lpstr>Sensitivity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Moraine</dc:creator>
  <dc:title/>
  <dc:subject/>
  <dc:description/>
  <cp:keywords/>
  <cp:category/>
  <cp:lastModifiedBy>Unknown</cp:lastModifiedBy>
  <dcterms:created xsi:type="dcterms:W3CDTF">2026-08-23T12:16:28Z</dcterms:created>
  <dcterms:modified xsi:type="dcterms:W3CDTF">2026-08-23T12:16:28Z</dcterms:modified>
</cp:coreProperties>
</file>